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3685" windowHeight="8715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Feuil1!$A:$C</definedName>
    <definedName name="_xlnm.Print_Area" localSheetId="0">Feuil1!$A$1:$AP$15</definedName>
  </definedNames>
  <calcPr calcId="145621"/>
</workbook>
</file>

<file path=xl/calcChain.xml><?xml version="1.0" encoding="utf-8"?>
<calcChain xmlns="http://schemas.openxmlformats.org/spreadsheetml/2006/main">
  <c r="AI6" i="1" l="1"/>
  <c r="AI5" i="1"/>
  <c r="AI11" i="1" l="1"/>
  <c r="AI9" i="1"/>
  <c r="AG12" i="1"/>
  <c r="AF12" i="1"/>
  <c r="AE12" i="1"/>
  <c r="AE7" i="1"/>
  <c r="AC11" i="1" l="1"/>
  <c r="AC10" i="1"/>
  <c r="AC9" i="1"/>
  <c r="AC6" i="1"/>
  <c r="AC5" i="1"/>
  <c r="AC4" i="1"/>
  <c r="AA11" i="1"/>
  <c r="AA10" i="1"/>
  <c r="AA9" i="1"/>
  <c r="AA6" i="1"/>
  <c r="AA5" i="1"/>
  <c r="AA4" i="1"/>
  <c r="Y11" i="1"/>
  <c r="Z9" i="1" s="1"/>
  <c r="Z10" i="1"/>
  <c r="Z11" i="1" s="1"/>
  <c r="Y10" i="1"/>
  <c r="Y9" i="1" s="1"/>
  <c r="Z5" i="1"/>
  <c r="Y5" i="1"/>
  <c r="Y4" i="1" s="1"/>
  <c r="Z6" i="1"/>
  <c r="Z4" i="1"/>
  <c r="Y6" i="1"/>
  <c r="X9" i="1" l="1"/>
  <c r="X11" i="1"/>
  <c r="X4" i="1"/>
  <c r="X6" i="1"/>
  <c r="T10" i="1"/>
  <c r="S11" i="1"/>
  <c r="S10" i="1"/>
  <c r="T5" i="1"/>
  <c r="S6" i="1"/>
  <c r="S5" i="1"/>
  <c r="V9" i="1"/>
  <c r="W10" i="1"/>
  <c r="W9" i="1"/>
  <c r="V10" i="1"/>
  <c r="V11" i="1"/>
  <c r="U11" i="1"/>
  <c r="U10" i="1"/>
  <c r="U9" i="1"/>
  <c r="Q11" i="1"/>
  <c r="Q10" i="1"/>
  <c r="Q9" i="1"/>
  <c r="I11" i="1" l="1"/>
  <c r="I9" i="1"/>
  <c r="AM10" i="1"/>
  <c r="AO10" i="1" s="1"/>
  <c r="R10" i="1"/>
  <c r="P10" i="1"/>
  <c r="H10" i="1"/>
  <c r="AM11" i="1"/>
  <c r="R11" i="1"/>
  <c r="P11" i="1"/>
  <c r="H11" i="1"/>
  <c r="AD10" i="1" l="1"/>
  <c r="AB10" i="1"/>
  <c r="AN10" i="1"/>
  <c r="W11" i="1" l="1"/>
  <c r="AE10" i="1"/>
  <c r="AB11" i="1"/>
  <c r="AD11" i="1"/>
  <c r="AF10" i="1" l="1"/>
  <c r="AG10" i="1" s="1"/>
  <c r="AE11" i="1"/>
  <c r="AF11" i="1" l="1"/>
  <c r="AG11" i="1" s="1"/>
  <c r="AM9" i="1" l="1"/>
  <c r="R9" i="1"/>
  <c r="P9" i="1"/>
  <c r="H9" i="1"/>
  <c r="AD9" i="1" l="1"/>
  <c r="AM6" i="1"/>
  <c r="AM5" i="1"/>
  <c r="AM4" i="1"/>
  <c r="AO4" i="1" s="1"/>
  <c r="AD12" i="1" l="1"/>
  <c r="AH9" i="1" s="1"/>
  <c r="AE9" i="1"/>
  <c r="AF9" i="1" s="1"/>
  <c r="AG9" i="1" s="1"/>
  <c r="AB9" i="1"/>
  <c r="AN4" i="1"/>
  <c r="R6" i="1"/>
  <c r="U6" i="1" s="1"/>
  <c r="R5" i="1"/>
  <c r="U5" i="1" s="1"/>
  <c r="R4" i="1"/>
  <c r="P6" i="1"/>
  <c r="P4" i="1"/>
  <c r="L5" i="1"/>
  <c r="P5" i="1" s="1"/>
  <c r="H4" i="1"/>
  <c r="H6" i="1"/>
  <c r="H5" i="1"/>
  <c r="AH10" i="1" l="1"/>
  <c r="AH11" i="1"/>
  <c r="I6" i="1"/>
  <c r="I5" i="1"/>
  <c r="W5" i="1"/>
  <c r="W6" i="1"/>
  <c r="AD5" i="1" l="1"/>
  <c r="AB5" i="1"/>
  <c r="Q5" i="1"/>
  <c r="Q4" i="1"/>
  <c r="V4" i="1" s="1"/>
  <c r="U4" i="1"/>
  <c r="Q6" i="1"/>
  <c r="AD4" i="1"/>
  <c r="AB4" i="1"/>
  <c r="AD6" i="1"/>
  <c r="AB6" i="1"/>
  <c r="AN11" i="1" l="1"/>
  <c r="AO11" i="1"/>
  <c r="V6" i="1"/>
  <c r="V5" i="1"/>
  <c r="AE6" i="1"/>
  <c r="AF6" i="1" s="1"/>
  <c r="AG6" i="1" s="1"/>
  <c r="AE5" i="1"/>
  <c r="AD7" i="1"/>
  <c r="AH4" i="1" s="1"/>
  <c r="AE4" i="1"/>
  <c r="W4" i="1"/>
  <c r="AH6" i="1" l="1"/>
  <c r="AH5" i="1"/>
  <c r="AF4" i="1"/>
  <c r="AG4" i="1" s="1"/>
  <c r="AF7" i="1"/>
  <c r="AG7" i="1" s="1"/>
  <c r="AF5" i="1"/>
  <c r="AG5" i="1" s="1"/>
  <c r="AN5" i="1" l="1"/>
  <c r="AO9" i="1"/>
  <c r="AO5" i="1" l="1"/>
  <c r="AN9" i="1"/>
  <c r="AO6" i="1"/>
  <c r="AN6" i="1"/>
</calcChain>
</file>

<file path=xl/sharedStrings.xml><?xml version="1.0" encoding="utf-8"?>
<sst xmlns="http://schemas.openxmlformats.org/spreadsheetml/2006/main" count="69" uniqueCount="61">
  <si>
    <t>Angle observé minutes</t>
  </si>
  <si>
    <t>Angle observé degrés</t>
  </si>
  <si>
    <t>Angle observé secondes</t>
  </si>
  <si>
    <t>Angle réduit à l'horizon (triangle sphérique) degrés</t>
  </si>
  <si>
    <t>Angle réduit à l'horizon (triangle sphérique) minutes</t>
  </si>
  <si>
    <t>Angle réduit à l'horizon (triangle sphérique) secondes</t>
  </si>
  <si>
    <t>Direction observée  des côtés par rapport à méridienne degrés</t>
  </si>
  <si>
    <t>Direction observée  des côtés par rapport à méridienne minutes</t>
  </si>
  <si>
    <t>Direction observée  des côtés par rapport à méridienne secondes</t>
  </si>
  <si>
    <t>Angle observé en radians</t>
  </si>
  <si>
    <t xml:space="preserve"> 1 - Pambamarca</t>
  </si>
  <si>
    <t>2 - Carabourou</t>
  </si>
  <si>
    <t>3 - Oyambaro</t>
  </si>
  <si>
    <t>Intermédiaire de calcul 1  soit  p= (a + b + c)/2  a= col H angle plat observé b=pi/2-hauteur ou dépressionde la  colonne P c=pi/2-colonne R</t>
  </si>
  <si>
    <t>p en degrés</t>
  </si>
  <si>
    <t>Divers</t>
  </si>
  <si>
    <t>Angles corrigés d'un tiers de l'excès sphérique pour appliquer le théorême de Legendre radians</t>
  </si>
  <si>
    <t>Direction observée des côtés par rapport à la méridienne radians</t>
  </si>
  <si>
    <t xml:space="preserve">EXPEDITION AU PEROU  1735-1744 REPRODUCTION DES CALCULS DE LA CONDAMINE </t>
  </si>
  <si>
    <t>Nom du signal</t>
  </si>
  <si>
    <t>Angle de hauteur ou dépression observé Signal +1  degrés</t>
  </si>
  <si>
    <t>Angle de hauteur ou dépression observé Signal +1  minutes</t>
  </si>
  <si>
    <t>Angle de hauteur ou dépression observé Signal +1  secondes</t>
  </si>
  <si>
    <t>Angle de hauteur ou dépression observé Signal +2 degrés</t>
  </si>
  <si>
    <t>Angle de hauteur ou dépression observé Signal +2 minutes</t>
  </si>
  <si>
    <t>Angle de hauteur ou dépression observé Signal +2 secondes</t>
  </si>
  <si>
    <t>Angle hauteur ou dépression en radians Signal +1</t>
  </si>
  <si>
    <t>Angle hauteur ou dépression en radians Signal +2</t>
  </si>
  <si>
    <t>Triangle I</t>
  </si>
  <si>
    <t>Triangle XXXII</t>
  </si>
  <si>
    <t>1 - Pougin</t>
  </si>
  <si>
    <t>2 - Chinan</t>
  </si>
  <si>
    <t>3 - Ouaoua Tarqui</t>
  </si>
  <si>
    <t>Angle de hauteur ou dépression vraie Signal + 1 = demi-somme des valeurs apparentes radians</t>
  </si>
  <si>
    <t>Angle de hauteur ou dépression vraie Signal + 2 = demi-somme des valeurs apparentes radians</t>
  </si>
  <si>
    <t>Hauteur ou dépression relative à la station la plus basse du triangle, avec valeur vraie des angles -colonneS et T</t>
  </si>
  <si>
    <t>Hauteur ou dépression - valeur moyenne Signal +1 toises</t>
  </si>
  <si>
    <t>Hauteur ou dépression - valeur moyenne Signal +2 toises</t>
  </si>
  <si>
    <t>Hauteur ou dépression calculée de Signal +2  toises</t>
  </si>
  <si>
    <t>Angle de hauteur ou dépression Vrai Signal +1 (colonne S ou T) réfraction corrigée</t>
  </si>
  <si>
    <t>Angle de hauteur ou dépression Vrai Signal +2 (colonne S ou T) réfraction corrigée</t>
  </si>
  <si>
    <t>Pour documentation, voir Jacques Chatelon article Cahiers Clairaut Voyage des académiciens au Pérou</t>
  </si>
  <si>
    <t>Colonne III</t>
  </si>
  <si>
    <t>Colonne IV</t>
  </si>
  <si>
    <t>Colonne V</t>
  </si>
  <si>
    <t>Colonne VI</t>
  </si>
  <si>
    <t>Colonne VII</t>
  </si>
  <si>
    <t>Colonne VIII</t>
  </si>
  <si>
    <t>Colonne IX</t>
  </si>
  <si>
    <t>Colonne X</t>
  </si>
  <si>
    <t>Colonne XI</t>
  </si>
  <si>
    <t>Colonne XII</t>
  </si>
  <si>
    <t>Correction pour 180° en secondes (1/3 de l'excès pour chacun des angles)</t>
  </si>
  <si>
    <t>Hauteur ou dépression calculée de Signal +1  toises (longueur du côté * sinus de l'angle)</t>
  </si>
  <si>
    <t>Intermédiaire de calcul 2 soit racine carrée de sin(p-b)*sin(p-c)/(sin b * sin c)= sinA/2 (formule directe sans utilisation de logarithmes)</t>
  </si>
  <si>
    <r>
      <t xml:space="preserve">Angle réduit à l'horizon (triangle sphérique) en radians (formule directe avec arcsinus)  et </t>
    </r>
    <r>
      <rPr>
        <b/>
        <sz val="11"/>
        <color theme="1"/>
        <rFont val="Calibri"/>
        <family val="2"/>
        <scheme val="minor"/>
      </rPr>
      <t>excès sphérique en dessous</t>
    </r>
  </si>
  <si>
    <t>Longueur calculée , réduite à l'horizon par la résolution d'un triangle plat avec les trois angles réduits et un côté connu (a/sinA = b/sinB = c/sinC)</t>
  </si>
  <si>
    <t>Distance entre méridiens des signaux toises (longueur du côté par sinus de l'angle)</t>
  </si>
  <si>
    <t>Distance entre les parallèles des signaux toises (longueur du côté * cosinus de l'angle)</t>
  </si>
  <si>
    <t>Colonne du livre de La Condamine - Première partie article VI</t>
  </si>
  <si>
    <t>Longueur calculée du côté opposé (géométrie plane - formule a/sinA = b/sinB = c/sinC dans un triangle)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</si>
</sst>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0000"/>
    <numFmt numFmtId="166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164" fontId="0" fillId="2" borderId="0" xfId="0" applyNumberFormat="1" applyFill="1"/>
    <xf numFmtId="164" fontId="0" fillId="3" borderId="0" xfId="0" applyNumberFormat="1" applyFill="1"/>
    <xf numFmtId="2" fontId="0" fillId="0" borderId="0" xfId="0" applyNumberFormat="1"/>
    <xf numFmtId="2" fontId="0" fillId="0" borderId="0" xfId="0" applyNumberFormat="1" applyAlignment="1">
      <alignment vertical="center" wrapText="1"/>
    </xf>
    <xf numFmtId="2" fontId="0" fillId="2" borderId="0" xfId="0" applyNumberFormat="1" applyFill="1"/>
    <xf numFmtId="165" fontId="0" fillId="0" borderId="0" xfId="0" applyNumberFormat="1"/>
    <xf numFmtId="165" fontId="0" fillId="0" borderId="0" xfId="0" applyNumberFormat="1" applyAlignment="1">
      <alignment vertical="center" wrapText="1"/>
    </xf>
    <xf numFmtId="164" fontId="0" fillId="0" borderId="0" xfId="0" applyNumberFormat="1" applyFill="1"/>
    <xf numFmtId="0" fontId="1" fillId="0" borderId="0" xfId="0" applyFont="1"/>
    <xf numFmtId="166" fontId="0" fillId="0" borderId="0" xfId="0" applyNumberFormat="1" applyFill="1"/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0" fillId="4" borderId="0" xfId="0" applyNumberFormat="1" applyFill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2"/>
  <sheetViews>
    <sheetView tabSelected="1" topLeftCell="W1" zoomScale="85" zoomScaleNormal="85" workbookViewId="0">
      <selection activeCell="AM4" sqref="AM4"/>
    </sheetView>
  </sheetViews>
  <sheetFormatPr baseColWidth="10" defaultRowHeight="15" x14ac:dyDescent="0.25"/>
  <cols>
    <col min="1" max="1" width="20.28515625" customWidth="1"/>
    <col min="2" max="2" width="12.85546875" customWidth="1"/>
    <col min="3" max="3" width="17.140625" customWidth="1"/>
    <col min="4" max="6" width="12.5703125" customWidth="1"/>
    <col min="7" max="7" width="14" customWidth="1"/>
    <col min="8" max="8" width="14" style="3" customWidth="1"/>
    <col min="9" max="9" width="18" style="3" customWidth="1"/>
    <col min="10" max="13" width="11.42578125" customWidth="1"/>
    <col min="14" max="14" width="13.42578125" customWidth="1"/>
    <col min="15" max="15" width="13.140625" customWidth="1"/>
    <col min="16" max="26" width="11.42578125" style="3" customWidth="1"/>
    <col min="27" max="27" width="14" style="3" customWidth="1"/>
    <col min="28" max="28" width="11.42578125" style="3"/>
    <col min="29" max="29" width="14.28515625" style="3" customWidth="1"/>
    <col min="30" max="30" width="11.42578125" style="10"/>
    <col min="31" max="32" width="11.42578125" customWidth="1"/>
    <col min="33" max="33" width="11.5703125" customWidth="1"/>
    <col min="34" max="34" width="11.42578125" style="3"/>
    <col min="35" max="35" width="16.140625" style="3" customWidth="1"/>
    <col min="36" max="38" width="11.42578125" customWidth="1"/>
    <col min="39" max="39" width="11.7109375" style="3" customWidth="1"/>
    <col min="40" max="41" width="11.42578125" style="7"/>
  </cols>
  <sheetData>
    <row r="1" spans="1:41" ht="39.75" customHeight="1" x14ac:dyDescent="0.5">
      <c r="E1" s="2" t="s">
        <v>18</v>
      </c>
    </row>
    <row r="2" spans="1:41" s="15" customFormat="1" ht="54.75" customHeight="1" x14ac:dyDescent="0.25">
      <c r="A2" s="22" t="s">
        <v>59</v>
      </c>
      <c r="B2" s="16"/>
      <c r="C2" s="16"/>
      <c r="D2" s="21" t="s">
        <v>42</v>
      </c>
      <c r="E2" s="21"/>
      <c r="F2" s="21"/>
      <c r="G2" s="16" t="s">
        <v>43</v>
      </c>
      <c r="H2" s="18"/>
      <c r="I2" s="18" t="s">
        <v>44</v>
      </c>
      <c r="J2" s="17" t="s">
        <v>45</v>
      </c>
      <c r="K2" s="17"/>
      <c r="L2" s="17"/>
      <c r="M2" s="17"/>
      <c r="N2" s="21" t="s">
        <v>45</v>
      </c>
      <c r="O2" s="21"/>
      <c r="P2" s="18"/>
      <c r="Q2" s="18"/>
      <c r="R2" s="18"/>
      <c r="S2" s="18"/>
      <c r="T2" s="18"/>
      <c r="U2" s="18"/>
      <c r="V2" s="18"/>
      <c r="W2" s="18"/>
      <c r="X2" s="18" t="s">
        <v>46</v>
      </c>
      <c r="Y2" s="18"/>
      <c r="Z2" s="18"/>
      <c r="AA2" s="18"/>
      <c r="AB2" s="18"/>
      <c r="AC2" s="18"/>
      <c r="AD2" s="19"/>
      <c r="AE2" s="21" t="s">
        <v>47</v>
      </c>
      <c r="AF2" s="21"/>
      <c r="AG2" s="21"/>
      <c r="AH2" s="18"/>
      <c r="AI2" s="18" t="s">
        <v>48</v>
      </c>
      <c r="AJ2" s="21" t="s">
        <v>49</v>
      </c>
      <c r="AK2" s="21"/>
      <c r="AL2" s="21"/>
      <c r="AM2" s="18"/>
      <c r="AN2" s="20" t="s">
        <v>50</v>
      </c>
      <c r="AO2" s="20" t="s">
        <v>51</v>
      </c>
    </row>
    <row r="3" spans="1:41" s="1" customFormat="1" ht="226.5" customHeight="1" x14ac:dyDescent="0.25">
      <c r="A3" s="1" t="s">
        <v>41</v>
      </c>
      <c r="C3" s="1" t="s">
        <v>19</v>
      </c>
      <c r="D3" s="1" t="s">
        <v>1</v>
      </c>
      <c r="E3" s="1" t="s">
        <v>0</v>
      </c>
      <c r="F3" s="1" t="s">
        <v>2</v>
      </c>
      <c r="G3" s="1" t="s">
        <v>52</v>
      </c>
      <c r="H3" s="4" t="s">
        <v>9</v>
      </c>
      <c r="I3" s="4" t="s">
        <v>60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4" t="s">
        <v>26</v>
      </c>
      <c r="Q3" s="4" t="s">
        <v>53</v>
      </c>
      <c r="R3" s="4" t="s">
        <v>27</v>
      </c>
      <c r="S3" s="4" t="s">
        <v>33</v>
      </c>
      <c r="T3" s="4" t="s">
        <v>34</v>
      </c>
      <c r="U3" s="4" t="s">
        <v>38</v>
      </c>
      <c r="V3" s="4" t="s">
        <v>36</v>
      </c>
      <c r="W3" s="4" t="s">
        <v>37</v>
      </c>
      <c r="X3" s="4" t="s">
        <v>35</v>
      </c>
      <c r="Y3" s="4" t="s">
        <v>39</v>
      </c>
      <c r="Z3" s="4" t="s">
        <v>40</v>
      </c>
      <c r="AA3" s="4" t="s">
        <v>13</v>
      </c>
      <c r="AB3" s="4" t="s">
        <v>14</v>
      </c>
      <c r="AC3" s="4" t="s">
        <v>54</v>
      </c>
      <c r="AD3" s="11" t="s">
        <v>55</v>
      </c>
      <c r="AE3" s="1" t="s">
        <v>3</v>
      </c>
      <c r="AF3" s="1" t="s">
        <v>4</v>
      </c>
      <c r="AG3" s="1" t="s">
        <v>5</v>
      </c>
      <c r="AH3" s="4" t="s">
        <v>16</v>
      </c>
      <c r="AI3" s="4" t="s">
        <v>56</v>
      </c>
      <c r="AJ3" s="1" t="s">
        <v>6</v>
      </c>
      <c r="AK3" s="1" t="s">
        <v>7</v>
      </c>
      <c r="AL3" s="1" t="s">
        <v>8</v>
      </c>
      <c r="AM3" s="4" t="s">
        <v>17</v>
      </c>
      <c r="AN3" s="8" t="s">
        <v>58</v>
      </c>
      <c r="AO3" s="8" t="s">
        <v>57</v>
      </c>
    </row>
    <row r="4" spans="1:41" x14ac:dyDescent="0.25">
      <c r="B4" s="13" t="s">
        <v>28</v>
      </c>
      <c r="C4" s="13" t="s">
        <v>10</v>
      </c>
      <c r="D4" s="25">
        <v>38</v>
      </c>
      <c r="E4" s="25">
        <v>36</v>
      </c>
      <c r="F4" s="25">
        <v>14</v>
      </c>
      <c r="G4" s="25">
        <v>-3</v>
      </c>
      <c r="H4" s="3">
        <f>PI()*(D4*3600+E4*60+F4-G4)/(3600*180)</f>
        <v>0.67377950959559985</v>
      </c>
      <c r="I4" s="6">
        <v>6274.05</v>
      </c>
      <c r="J4" s="25">
        <v>-5</v>
      </c>
      <c r="K4" s="25">
        <v>-41</v>
      </c>
      <c r="L4" s="25">
        <v>-20</v>
      </c>
      <c r="M4" s="25">
        <v>-4</v>
      </c>
      <c r="N4" s="25">
        <v>-30</v>
      </c>
      <c r="O4" s="25">
        <v>-27</v>
      </c>
      <c r="P4" s="3">
        <f>PI()*(J4*3600+K4*60+L4)/(3600*180)</f>
        <v>-9.9289841891232966E-2</v>
      </c>
      <c r="Q4" s="23">
        <f>I6*SIN(P4)</f>
        <v>-894.39747286722422</v>
      </c>
      <c r="R4" s="3">
        <f>PI()*(M4*3600+N4*60+O4)/(3600*180)</f>
        <v>-7.8670716033644394E-2</v>
      </c>
      <c r="U4" s="23">
        <f>I5*SIN(R4)</f>
        <v>-771.80722708641702</v>
      </c>
      <c r="V4" s="23">
        <f>Q4+ABS((Q4+Q5)/2)</f>
        <v>-883.6447487966077</v>
      </c>
      <c r="W4" s="23">
        <f>U4+ABS((U4+Q6)/2)</f>
        <v>-757.61359466166311</v>
      </c>
      <c r="X4" s="5">
        <f>I6*SIN(S5)</f>
        <v>883.64538236223109</v>
      </c>
      <c r="Y4" s="23">
        <f>-Y5</f>
        <v>-9.8092352098892416E-2</v>
      </c>
      <c r="Z4" s="23">
        <f>-Y6</f>
        <v>-7.7221123127126895E-2</v>
      </c>
      <c r="AA4" s="3">
        <f>(H4+PI()/2-Y4+PI()/2-Z4)/2</f>
        <v>1.9953428192057063</v>
      </c>
      <c r="AB4" s="3">
        <f>AA4*180/PI()</f>
        <v>114.32472222222223</v>
      </c>
      <c r="AC4" s="3">
        <f>SQRT(SIN(AA4-PI()/2+Y4)*SIN(AA4-PI()/2+Z4)/(SIN(PI()/2-Y4)*SIN(PI()/2-Z4)))</f>
        <v>0.33168010354171756</v>
      </c>
      <c r="AD4" s="10">
        <f>2*ASIN(AC4)</f>
        <v>0.67616787356173336</v>
      </c>
      <c r="AE4" s="24">
        <f>INT(AD4*180/PI())</f>
        <v>38</v>
      </c>
      <c r="AF4" s="24">
        <f>INT(60*(AD4*180/PI()-AE4))</f>
        <v>44</v>
      </c>
      <c r="AG4" s="24">
        <f>INT((AD4*180/PI()*3600-AE4*3600-AF4*60))</f>
        <v>29</v>
      </c>
      <c r="AH4" s="14">
        <f>AD4-AD7/3</f>
        <v>0.67613539652010879</v>
      </c>
      <c r="AI4" s="6">
        <v>6272.66</v>
      </c>
      <c r="AJ4" s="25">
        <v>19</v>
      </c>
      <c r="AK4" s="25">
        <v>25</v>
      </c>
      <c r="AL4" s="25">
        <v>4</v>
      </c>
      <c r="AM4" s="3">
        <f>PI()/180*((AJ4*3600+AK4*60+AL4)/3600)</f>
        <v>0.33890415564281007</v>
      </c>
      <c r="AN4" s="9">
        <f>AI4*COS(AM4)</f>
        <v>5915.8682723517004</v>
      </c>
      <c r="AO4" s="9">
        <f>AI4*SIN(AM4)</f>
        <v>2085.3695259551728</v>
      </c>
    </row>
    <row r="5" spans="1:41" x14ac:dyDescent="0.25">
      <c r="B5" s="13" t="s">
        <v>28</v>
      </c>
      <c r="C5" s="13" t="s">
        <v>11</v>
      </c>
      <c r="D5" s="25">
        <v>77</v>
      </c>
      <c r="E5" s="25">
        <v>35</v>
      </c>
      <c r="F5" s="25">
        <v>40</v>
      </c>
      <c r="G5" s="25">
        <v>-4</v>
      </c>
      <c r="H5" s="3">
        <f>PI()*(D5*3600+E5*60+F5-G5)/(3600*180)</f>
        <v>1.3542979293586221</v>
      </c>
      <c r="I5" s="5">
        <f>(I$4/SIN(H$4))*SIN(H5)</f>
        <v>9820.7309010725839</v>
      </c>
      <c r="J5" s="25">
        <v>5</v>
      </c>
      <c r="K5" s="25">
        <v>33</v>
      </c>
      <c r="L5" s="25">
        <f>6</f>
        <v>6</v>
      </c>
      <c r="M5" s="25">
        <v>1</v>
      </c>
      <c r="N5" s="25">
        <v>6</v>
      </c>
      <c r="O5" s="25">
        <v>19</v>
      </c>
      <c r="P5" s="3">
        <f t="shared" ref="P5:P6" si="0">PI()*(J5*3600+K5*60+L5)/(3600*180)</f>
        <v>9.6894862306551865E-2</v>
      </c>
      <c r="Q5" s="23">
        <f>I6*SIN(P5)</f>
        <v>872.89202472599118</v>
      </c>
      <c r="R5" s="3">
        <f t="shared" ref="R5:R6" si="1">PI()*(M5*3600+N5*60+O5)/(3600*180)</f>
        <v>1.9290736371348437E-2</v>
      </c>
      <c r="S5" s="3">
        <f>(-P4+P5)/2</f>
        <v>9.8092352098892416E-2</v>
      </c>
      <c r="T5" s="3">
        <f>(R5-R6)/2</f>
        <v>2.0100375218801363E-2</v>
      </c>
      <c r="U5" s="23">
        <f>I4*SIN(R5)</f>
        <v>121.02353807260343</v>
      </c>
      <c r="V5" s="23">
        <f>Q5+ABS((Q5+Q4)/2)</f>
        <v>883.6447487966077</v>
      </c>
      <c r="W5" s="23">
        <f>U5+ABS((U5+U6)/2)</f>
        <v>126.10222599709427</v>
      </c>
      <c r="X5" s="5"/>
      <c r="Y5" s="23">
        <f>S5</f>
        <v>9.8092352098892416E-2</v>
      </c>
      <c r="Z5" s="23">
        <f>T5</f>
        <v>2.0100375218801363E-2</v>
      </c>
      <c r="AA5" s="3">
        <f t="shared" ref="AA5:AA6" si="2">(H5+PI()/2-Y5+PI()/2-Z5)/2</f>
        <v>2.1888489278153607</v>
      </c>
      <c r="AB5" s="3">
        <f t="shared" ref="AB5:AB6" si="3">AA5*180/PI()</f>
        <v>125.41180555555555</v>
      </c>
      <c r="AC5" s="3">
        <f t="shared" ref="AC5:AC6" si="4">SQRT(SIN(AA5-PI()/2+Y5)*SIN(AA5-PI()/2+Z5)/(SIN(PI()/2-Y5)*SIN(PI()/2-Z5)))</f>
        <v>0.62693140839541495</v>
      </c>
      <c r="AD5" s="10">
        <f>2*ASIN(AC5)</f>
        <v>1.3552163476352317</v>
      </c>
      <c r="AE5" s="24">
        <f t="shared" ref="AE5:AE7" si="5">INT(AD5*180/PI())</f>
        <v>77</v>
      </c>
      <c r="AF5" s="24">
        <f t="shared" ref="AF5:AF6" si="6">INT(60*(AD5*180/PI()-AE5))</f>
        <v>38</v>
      </c>
      <c r="AG5" s="24">
        <f t="shared" ref="AG5:AG6" si="7">INT((AD5*180/PI()*3600-AE5*3600-AF5*60))</f>
        <v>53</v>
      </c>
      <c r="AH5" s="14">
        <f>AD5-AD7/3</f>
        <v>1.355183870593607</v>
      </c>
      <c r="AI5" s="5">
        <f>(AI4/SIN(AH4))*SIN(AH5)</f>
        <v>9791.5999432210028</v>
      </c>
      <c r="AJ5" s="25">
        <v>44</v>
      </c>
      <c r="AK5" s="25">
        <v>11</v>
      </c>
      <c r="AL5" s="25">
        <v>46</v>
      </c>
      <c r="AM5" s="3">
        <f t="shared" ref="AM5:AM6" si="8">PI()/180*((AJ5*3600+AK5*60+AL5)/3600)</f>
        <v>0.77136765546613828</v>
      </c>
      <c r="AN5" s="9">
        <f t="shared" ref="AN5:AN6" si="9">AI5*COS(AM5)</f>
        <v>7020.1651808969691</v>
      </c>
      <c r="AO5" s="9">
        <f t="shared" ref="AO5:AO6" si="10">AI5*SIN(AM5)</f>
        <v>6825.8853111524932</v>
      </c>
    </row>
    <row r="6" spans="1:41" x14ac:dyDescent="0.25">
      <c r="B6" s="13" t="s">
        <v>28</v>
      </c>
      <c r="C6" s="13" t="s">
        <v>12</v>
      </c>
      <c r="D6" s="25">
        <v>63</v>
      </c>
      <c r="E6" s="25">
        <v>48</v>
      </c>
      <c r="F6" s="25">
        <v>16</v>
      </c>
      <c r="G6" s="25">
        <v>-3</v>
      </c>
      <c r="H6" s="3">
        <f>PI()*(D6*3600+E6*60+F6-G6)/(3600*180)</f>
        <v>1.1136121773717931</v>
      </c>
      <c r="I6" s="5">
        <f>(I$4/SIN(H$4))*SIN(H6)</f>
        <v>9022.7631880777881</v>
      </c>
      <c r="J6" s="25">
        <v>4</v>
      </c>
      <c r="K6" s="25">
        <v>20</v>
      </c>
      <c r="L6" s="25">
        <v>29</v>
      </c>
      <c r="M6" s="25">
        <v>-1</v>
      </c>
      <c r="N6" s="25">
        <v>-11</v>
      </c>
      <c r="O6" s="25">
        <v>-53</v>
      </c>
      <c r="P6" s="3">
        <f t="shared" si="0"/>
        <v>7.5771530220609382E-2</v>
      </c>
      <c r="Q6" s="23">
        <f>I5*SIN(P6)</f>
        <v>743.41996223690921</v>
      </c>
      <c r="R6" s="3">
        <f t="shared" si="1"/>
        <v>-2.0910014066254288E-2</v>
      </c>
      <c r="S6" s="3">
        <f>(P6-R4)/2</f>
        <v>7.7221123127126895E-2</v>
      </c>
      <c r="U6" s="23">
        <f>I4*SIN(R6)</f>
        <v>-131.1809139215851</v>
      </c>
      <c r="V6" s="23">
        <f>Q6+ABS((Q6+U4)/2)</f>
        <v>757.61359466166311</v>
      </c>
      <c r="W6" s="23">
        <f>U6+ABS((U6+U5)/2)</f>
        <v>-126.10222599709427</v>
      </c>
      <c r="X6" s="5">
        <f>I4*SIN(T5)</f>
        <v>126.10226732805988</v>
      </c>
      <c r="Y6" s="23">
        <f>S6</f>
        <v>7.7221123127126895E-2</v>
      </c>
      <c r="Z6" s="23">
        <f>-Z5</f>
        <v>-2.0100375218801363E-2</v>
      </c>
      <c r="AA6" s="3">
        <f t="shared" si="2"/>
        <v>2.09904204152663</v>
      </c>
      <c r="AB6" s="3">
        <f t="shared" si="3"/>
        <v>120.26624999999999</v>
      </c>
      <c r="AC6" s="3">
        <f t="shared" si="4"/>
        <v>0.52707327080986621</v>
      </c>
      <c r="AD6" s="10">
        <f>2*ASIN(AC6)</f>
        <v>1.1103058635177023</v>
      </c>
      <c r="AE6" s="24">
        <f t="shared" si="5"/>
        <v>63</v>
      </c>
      <c r="AF6" s="24">
        <f t="shared" si="6"/>
        <v>36</v>
      </c>
      <c r="AG6" s="24">
        <f t="shared" si="7"/>
        <v>57</v>
      </c>
      <c r="AH6" s="14">
        <f>AD6-AD7/3</f>
        <v>1.1102733864760777</v>
      </c>
      <c r="AI6" s="5">
        <f>(AI4/SIN(AH4))*SIN(AH6)</f>
        <v>8979.4269187792106</v>
      </c>
      <c r="AJ6" s="25">
        <v>82</v>
      </c>
      <c r="AK6" s="25">
        <v>56</v>
      </c>
      <c r="AL6" s="25">
        <v>28</v>
      </c>
      <c r="AM6" s="3">
        <f t="shared" si="8"/>
        <v>1.4475954741513413</v>
      </c>
      <c r="AN6" s="9">
        <f t="shared" si="9"/>
        <v>1103.4765907329029</v>
      </c>
      <c r="AO6" s="9">
        <f t="shared" si="10"/>
        <v>8911.3661805248012</v>
      </c>
    </row>
    <row r="7" spans="1:41" x14ac:dyDescent="0.25">
      <c r="B7" s="13" t="s">
        <v>28</v>
      </c>
      <c r="C7" s="13" t="s">
        <v>15</v>
      </c>
      <c r="Y7" s="23"/>
      <c r="Z7" s="23"/>
      <c r="AD7" s="10">
        <f>+AD4+AD5+AD6-PI()</f>
        <v>9.7431124873814667E-5</v>
      </c>
      <c r="AE7">
        <f t="shared" si="5"/>
        <v>0</v>
      </c>
      <c r="AF7">
        <f t="shared" ref="AF7" si="11">INT(60*(AD7*180/PI()-AE7))</f>
        <v>0</v>
      </c>
      <c r="AG7" s="7">
        <f t="shared" ref="AG7" si="12">INT((AD7*180/PI()*3600-AE7*3600-AF7*60))</f>
        <v>20</v>
      </c>
      <c r="AH7" s="12"/>
    </row>
    <row r="8" spans="1:41" x14ac:dyDescent="0.25">
      <c r="Y8" s="23"/>
      <c r="Z8" s="23"/>
      <c r="AH8" s="12"/>
    </row>
    <row r="9" spans="1:41" x14ac:dyDescent="0.25">
      <c r="B9" s="13" t="s">
        <v>29</v>
      </c>
      <c r="C9" s="13" t="s">
        <v>30</v>
      </c>
      <c r="D9" s="25">
        <v>94</v>
      </c>
      <c r="E9" s="25">
        <v>58</v>
      </c>
      <c r="F9" s="25">
        <v>37</v>
      </c>
      <c r="G9" s="25">
        <v>0</v>
      </c>
      <c r="H9" s="3">
        <f>PI()*(D9*3600+E9*60+F9-G9)/(3600*180)</f>
        <v>1.6576603940392922</v>
      </c>
      <c r="I9" s="5">
        <f>(I$10/SIN(H$10))*SIN(H9)</f>
        <v>5260.3426019310591</v>
      </c>
      <c r="J9" s="25">
        <v>-11</v>
      </c>
      <c r="K9" s="25">
        <v>-36</v>
      </c>
      <c r="L9" s="25">
        <v>-50</v>
      </c>
      <c r="M9" s="25">
        <v>0</v>
      </c>
      <c r="N9" s="25">
        <v>-50</v>
      </c>
      <c r="O9" s="25">
        <v>0</v>
      </c>
      <c r="P9" s="3">
        <f t="shared" ref="P9" si="13">PI()*(J9*3600+K9*60+L9)/(3600*180)</f>
        <v>-0.202700600071897</v>
      </c>
      <c r="Q9" s="3">
        <f>I11*SIN(P9)</f>
        <v>-117.41030597158966</v>
      </c>
      <c r="R9" s="3">
        <f t="shared" ref="R9" si="14">PI()*(M9*3600+N9*60+O9)/(3600*180)</f>
        <v>-1.454441043328608E-2</v>
      </c>
      <c r="U9" s="3">
        <f>I10*SIN(R9)</f>
        <v>-75.301902724928297</v>
      </c>
      <c r="V9" s="23">
        <f>Q9+ABS((Q9+Q10)/2)</f>
        <v>-117.36183676055877</v>
      </c>
      <c r="W9" s="23">
        <f>U9+ABS((U9+Q11)/2)</f>
        <v>-71.486835841841355</v>
      </c>
      <c r="X9" s="5">
        <f>I11*SIN(S10)</f>
        <v>117.36183718295764</v>
      </c>
      <c r="Y9" s="23">
        <f>-Y10</f>
        <v>-0.20261575767770285</v>
      </c>
      <c r="Z9" s="23">
        <f>-Y11</f>
        <v>-1.3807493637999584E-2</v>
      </c>
      <c r="AA9" s="3">
        <f>(H9+PI()/2-Y9+PI()/2-Z9)/2</f>
        <v>2.507838149472394</v>
      </c>
      <c r="AB9" s="3">
        <f t="shared" ref="AB9" si="15">AA9*180/PI()</f>
        <v>143.68854166666668</v>
      </c>
      <c r="AC9" s="3">
        <f t="shared" ref="AC9:AC11" si="16">SQRT(SIN(AA9-PI()/2+Y9)*SIN(AA9-PI()/2+Z9)/(SIN(PI()/2-Y9)*SIN(PI()/2-Z9)))</f>
        <v>0.73871909144804571</v>
      </c>
      <c r="AD9" s="10">
        <f>2*ASIN(AC9)</f>
        <v>1.6623359079583062</v>
      </c>
      <c r="AE9" s="24">
        <f t="shared" ref="AE9" si="17">INT(AD9*180/PI())</f>
        <v>95</v>
      </c>
      <c r="AF9" s="24">
        <f t="shared" ref="AF9" si="18">INT(60*(AD9*180/PI()-AE9))</f>
        <v>14</v>
      </c>
      <c r="AG9" s="24">
        <f t="shared" ref="AG9" si="19">INT((AD9*180/PI()*3600-AE9*3600-AF9*60))</f>
        <v>41</v>
      </c>
      <c r="AH9" s="12">
        <f>AD9-AD12/3</f>
        <v>1.6623359094153614</v>
      </c>
      <c r="AI9" s="5">
        <f>(AI10/SIN(AH10))*SIN(AH9)</f>
        <v>5260.0074506900455</v>
      </c>
      <c r="AJ9" s="25">
        <v>32</v>
      </c>
      <c r="AK9" s="25">
        <v>25</v>
      </c>
      <c r="AL9" s="25">
        <v>29</v>
      </c>
      <c r="AM9" s="3">
        <f t="shared" ref="AM9" si="20">PI()/180*((AJ9*3600+AK9*60+AL9)/3600)</f>
        <v>0.56591816182235022</v>
      </c>
      <c r="AN9" s="9">
        <f t="shared" ref="AN9" si="21">AI9*COS(AM9)</f>
        <v>4439.9546477362137</v>
      </c>
      <c r="AO9" s="9">
        <f t="shared" ref="AO9" si="22">AI9*SIN(AM9)</f>
        <v>2820.3689665290926</v>
      </c>
    </row>
    <row r="10" spans="1:41" x14ac:dyDescent="0.25">
      <c r="B10" s="13" t="s">
        <v>29</v>
      </c>
      <c r="C10" s="13" t="s">
        <v>32</v>
      </c>
      <c r="D10" s="25">
        <v>78</v>
      </c>
      <c r="E10" s="25">
        <v>40</v>
      </c>
      <c r="F10" s="25">
        <v>54</v>
      </c>
      <c r="G10" s="25">
        <v>0</v>
      </c>
      <c r="H10" s="3">
        <f>PI()*(D10*3600+E10*60+F10-G10)/(3600*180)</f>
        <v>1.373254144290005</v>
      </c>
      <c r="I10" s="6">
        <v>5177.5600000000004</v>
      </c>
      <c r="J10" s="25">
        <v>11</v>
      </c>
      <c r="K10" s="25">
        <v>36</v>
      </c>
      <c r="L10" s="25">
        <v>15</v>
      </c>
      <c r="M10" s="25">
        <v>0</v>
      </c>
      <c r="N10" s="25">
        <v>27</v>
      </c>
      <c r="O10" s="25">
        <v>40</v>
      </c>
      <c r="P10" s="3">
        <f>PI()*(J10*3600+K10*60+L10)/(3600*180)</f>
        <v>0.20253091528350867</v>
      </c>
      <c r="Q10" s="3">
        <f>I11*SIN(P10)</f>
        <v>117.31336754952788</v>
      </c>
      <c r="R10" s="3">
        <f>PI()*(M10*3600+N10*60+O10)/(3600*180)</f>
        <v>8.0479071064182978E-3</v>
      </c>
      <c r="S10" s="3">
        <f>(-P9+P10)/2</f>
        <v>0.20261575767770285</v>
      </c>
      <c r="T10" s="3">
        <f>(R10-R11)/2</f>
        <v>8.750886944027125E-3</v>
      </c>
      <c r="U10" s="3">
        <f>I9*SIN(R10)</f>
        <v>42.334291614549521</v>
      </c>
      <c r="V10" s="23">
        <f>Q10+ABS((Q10+Q9)/2)</f>
        <v>117.36183676055877</v>
      </c>
      <c r="W10" s="23">
        <f>U10+ABS((U10+U11)/2)</f>
        <v>46.032064509463474</v>
      </c>
      <c r="X10" s="5"/>
      <c r="Y10" s="23">
        <f>S10</f>
        <v>0.20261575767770285</v>
      </c>
      <c r="Z10" s="23">
        <f>T10</f>
        <v>8.750886944027125E-3</v>
      </c>
      <c r="AA10" s="3">
        <f t="shared" ref="AA10:AA11" si="23">(H10+PI()/2-Y10+PI()/2-Z10)/2</f>
        <v>2.151740076629034</v>
      </c>
      <c r="AB10" s="3">
        <f>AA10*180/PI()</f>
        <v>123.285625</v>
      </c>
      <c r="AC10" s="3">
        <f t="shared" si="16"/>
        <v>0.63302116018762677</v>
      </c>
      <c r="AD10" s="10">
        <f>2*ASIN(AC10)</f>
        <v>1.3708992873845789</v>
      </c>
      <c r="AE10" s="24">
        <f>INT(AD10*180/PI())</f>
        <v>78</v>
      </c>
      <c r="AF10" s="24">
        <f>INT(60*(AD10*180/PI()-AE10))</f>
        <v>32</v>
      </c>
      <c r="AG10" s="24">
        <f>INT((AD10*180/PI()*3600-AE10*3600-AF10*60))</f>
        <v>48</v>
      </c>
      <c r="AH10" s="12">
        <f>AD10-AD12/3</f>
        <v>1.370899288841634</v>
      </c>
      <c r="AI10" s="6">
        <v>5176.9399999999996</v>
      </c>
      <c r="AJ10" s="25">
        <v>26</v>
      </c>
      <c r="AK10" s="25">
        <v>12</v>
      </c>
      <c r="AL10" s="25">
        <v>58</v>
      </c>
      <c r="AM10" s="3">
        <f>PI()/180*((AJ10*3600+AK10*60+AL10)/3600)</f>
        <v>0.45755745595755787</v>
      </c>
      <c r="AN10" s="9">
        <f>AI10*COS(AM10)</f>
        <v>4644.4098545184888</v>
      </c>
      <c r="AO10" s="9">
        <f>AI10*SIN(AM10)</f>
        <v>2286.9553705421413</v>
      </c>
    </row>
    <row r="11" spans="1:41" x14ac:dyDescent="0.25">
      <c r="B11" s="13" t="s">
        <v>29</v>
      </c>
      <c r="C11" s="13" t="s">
        <v>31</v>
      </c>
      <c r="D11" s="25">
        <v>6</v>
      </c>
      <c r="E11" s="25">
        <v>20</v>
      </c>
      <c r="F11" s="25">
        <v>29</v>
      </c>
      <c r="G11" s="25">
        <v>0</v>
      </c>
      <c r="H11" s="3">
        <f>PI()*(D11*3600+E11*60+F11-G11)/(3600*180)</f>
        <v>0.11067811526049598</v>
      </c>
      <c r="I11" s="5">
        <f>(I$10/SIN(H$10))*SIN(H11)</f>
        <v>583.21580414684502</v>
      </c>
      <c r="J11" s="25">
        <v>0</v>
      </c>
      <c r="K11" s="25">
        <v>44</v>
      </c>
      <c r="L11" s="25">
        <v>56</v>
      </c>
      <c r="M11" s="25">
        <v>0</v>
      </c>
      <c r="N11" s="25">
        <v>-32</v>
      </c>
      <c r="O11" s="25">
        <v>-30</v>
      </c>
      <c r="P11" s="3">
        <f t="shared" ref="P11" si="24">PI()*(J11*3600+K11*60+L11)/(3600*180)</f>
        <v>1.3070576842713089E-2</v>
      </c>
      <c r="Q11" s="3">
        <f>I10*SIN(P11)</f>
        <v>67.671768958754413</v>
      </c>
      <c r="R11" s="3">
        <f t="shared" ref="R11" si="25">PI()*(M11*3600+N11*60+O11)/(3600*180)</f>
        <v>-9.4538667816359521E-3</v>
      </c>
      <c r="S11" s="3">
        <f>(P11-R9)/2</f>
        <v>1.3807493637999584E-2</v>
      </c>
      <c r="U11" s="3">
        <f>I9*SIN(R11)</f>
        <v>-49.729837404377427</v>
      </c>
      <c r="V11" s="23">
        <f>Q11+ABS((Q11+U9)/2)</f>
        <v>71.486835841841355</v>
      </c>
      <c r="W11" s="23">
        <f>U11+ABS((U11+U10)/2)</f>
        <v>-46.032064509463474</v>
      </c>
      <c r="X11" s="5">
        <f>I9*SIN(T10)</f>
        <v>46.032075883543641</v>
      </c>
      <c r="Y11" s="23">
        <f>S11</f>
        <v>1.3807493637999584E-2</v>
      </c>
      <c r="Z11" s="23">
        <f>-Z10</f>
        <v>-8.750886944027125E-3</v>
      </c>
      <c r="AA11" s="3">
        <f t="shared" si="23"/>
        <v>1.6236070810781584</v>
      </c>
      <c r="AB11" s="3">
        <f t="shared" ref="AB11" si="26">AA11*180/PI()</f>
        <v>93.025833333333352</v>
      </c>
      <c r="AC11" s="3">
        <f t="shared" si="16"/>
        <v>5.4152225380420485E-2</v>
      </c>
      <c r="AD11" s="10">
        <f>2*ASIN(AC11)</f>
        <v>0.1083574538757425</v>
      </c>
      <c r="AE11" s="24">
        <f t="shared" ref="AE11" si="27">INT(AD11*180/PI())</f>
        <v>6</v>
      </c>
      <c r="AF11" s="24">
        <f t="shared" ref="AF11" si="28">INT(60*(AD11*180/PI()-AE11))</f>
        <v>12</v>
      </c>
      <c r="AG11" s="24">
        <f t="shared" ref="AG11" si="29">INT((AD11*180/PI()*3600-AE11*3600-AF11*60))</f>
        <v>30</v>
      </c>
      <c r="AH11" s="12">
        <f>AD11-AD12/3</f>
        <v>0.10835745533279757</v>
      </c>
      <c r="AI11" s="5">
        <f>(AI10/SIN(AH10))*SIN(AH11)</f>
        <v>571.23799838885782</v>
      </c>
      <c r="AJ11" s="25">
        <v>69</v>
      </c>
      <c r="AK11" s="25">
        <v>2</v>
      </c>
      <c r="AL11" s="25">
        <v>13</v>
      </c>
      <c r="AM11" s="3">
        <f t="shared" ref="AM11" si="30">PI()/180*((AJ11*3600+AK11*60+AL11)/3600)</f>
        <v>1.2049219860719631</v>
      </c>
      <c r="AN11" s="9">
        <f t="shared" ref="AN11" si="31">AI11*COS(AM11)</f>
        <v>204.36947682410838</v>
      </c>
      <c r="AO11" s="9">
        <f t="shared" ref="AO11" si="32">AI11*SIN(AM11)</f>
        <v>533.42850293731863</v>
      </c>
    </row>
    <row r="12" spans="1:41" x14ac:dyDescent="0.25">
      <c r="B12" s="13" t="s">
        <v>29</v>
      </c>
      <c r="C12" s="13" t="s">
        <v>15</v>
      </c>
      <c r="AD12" s="10">
        <f>+AD9+AD10+AD11-PI()</f>
        <v>-4.371165207572858E-9</v>
      </c>
      <c r="AE12">
        <f>MAX(0,INT(AD12*180/PI()))</f>
        <v>0</v>
      </c>
      <c r="AF12">
        <f>MAX(0,INT(60*(AD12*180/PI()-AE12)))</f>
        <v>0</v>
      </c>
      <c r="AG12">
        <f>MAX(0,INT((AD12*180/PI()*3600-AE12*3600-AF12*60)))</f>
        <v>0</v>
      </c>
    </row>
  </sheetData>
  <mergeCells count="4">
    <mergeCell ref="D2:F2"/>
    <mergeCell ref="AE2:AG2"/>
    <mergeCell ref="AJ2:AL2"/>
    <mergeCell ref="N2:O2"/>
  </mergeCells>
  <pageMargins left="0.70866141732283472" right="0.70866141732283472" top="0.74803149606299213" bottom="0.74803149606299213" header="0.31496062992125984" footer="0.31496062992125984"/>
  <pageSetup paperSize="9" scale="71" fitToWidth="4" pageOrder="overThenDown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Feuil1!Impression_des_titres</vt:lpstr>
      <vt:lpstr>Feuil1!Zone_d_impression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Chatelon</dc:creator>
  <cp:lastModifiedBy>Jacques Chatelon</cp:lastModifiedBy>
  <cp:lastPrinted>2024-08-04T09:40:28Z</cp:lastPrinted>
  <dcterms:created xsi:type="dcterms:W3CDTF">2018-07-20T07:47:01Z</dcterms:created>
  <dcterms:modified xsi:type="dcterms:W3CDTF">2024-08-04T09:56:26Z</dcterms:modified>
</cp:coreProperties>
</file>